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Users/andrea/Documents/USL/didattica/2021/AIDII/fogli_di_calcolo/radiometria-fotometria/agg22/"/>
    </mc:Choice>
  </mc:AlternateContent>
  <xr:revisionPtr revIDLastSave="0" documentId="13_ncr:1_{F4220907-F59F-F045-9F57-55A542E6E4B2}" xr6:coauthVersionLast="47" xr6:coauthVersionMax="47" xr10:uidLastSave="{00000000-0000-0000-0000-000000000000}"/>
  <bookViews>
    <workbookView xWindow="34320" yWindow="460" windowWidth="26340" windowHeight="19100" tabRatio="270" xr2:uid="{00000000-000D-0000-FFFF-FFFF00000000}"/>
  </bookViews>
  <sheets>
    <sheet name="Radiometria" sheetId="1" r:id="rId1"/>
    <sheet name="fotometria" sheetId="2" r:id="rId2"/>
  </sheets>
  <definedNames>
    <definedName name="_xlnm.Print_Area" localSheetId="1">fotometria!$A$1:$K$28</definedName>
    <definedName name="_xlnm.Print_Area" localSheetId="0">Radiometria!$A$1:$J$31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25" i="1" s="1"/>
  <c r="D4" i="1"/>
  <c r="E4" i="1" s="1"/>
  <c r="D5" i="1"/>
  <c r="E5" i="1" s="1"/>
  <c r="D6" i="1"/>
  <c r="F6" i="1" s="1"/>
  <c r="D7" i="1"/>
  <c r="E7" i="1" s="1"/>
  <c r="D8" i="1"/>
  <c r="F8" i="1" s="1"/>
  <c r="D9" i="1"/>
  <c r="F9" i="1" s="1"/>
  <c r="G9" i="1" s="1"/>
  <c r="D12" i="1"/>
  <c r="B14" i="1"/>
  <c r="E18" i="1"/>
  <c r="E19" i="1"/>
  <c r="F31" i="1"/>
  <c r="F32" i="1"/>
  <c r="B25" i="2"/>
  <c r="E25" i="2"/>
  <c r="B5" i="2"/>
  <c r="B7" i="2" s="1"/>
  <c r="B6" i="2"/>
  <c r="B28" i="2"/>
  <c r="E28" i="2"/>
  <c r="B8" i="2"/>
  <c r="I14" i="2"/>
  <c r="I15" i="2" s="1"/>
  <c r="B17" i="2"/>
  <c r="B18" i="2" s="1"/>
  <c r="B19" i="2" s="1"/>
  <c r="I20" i="2"/>
  <c r="I21" i="2" s="1"/>
  <c r="H6" i="2"/>
  <c r="H7" i="2" s="1"/>
  <c r="H8" i="2" s="1"/>
  <c r="I28" i="2"/>
  <c r="E9" i="1" l="1"/>
  <c r="E6" i="1"/>
  <c r="E20" i="1"/>
  <c r="F7" i="1"/>
  <c r="E12" i="1"/>
  <c r="E8" i="1"/>
  <c r="H9" i="1"/>
  <c r="I9" i="1" s="1"/>
  <c r="J4" i="1"/>
  <c r="G6" i="1"/>
  <c r="H6" i="1" s="1"/>
  <c r="I6" i="1" s="1"/>
  <c r="G8" i="1"/>
  <c r="H8" i="1" s="1"/>
  <c r="F12" i="1"/>
  <c r="F4" i="1"/>
  <c r="J5" i="1"/>
  <c r="F5" i="1"/>
  <c r="G7" i="1" l="1"/>
  <c r="G4" i="1"/>
  <c r="H4" i="1" s="1"/>
  <c r="G12" i="1"/>
  <c r="I8" i="1"/>
  <c r="G5" i="1"/>
  <c r="H5" i="1" l="1"/>
  <c r="I5" i="1" s="1"/>
  <c r="H7" i="1"/>
  <c r="I7" i="1" s="1"/>
  <c r="H12" i="1"/>
  <c r="I12" i="1" s="1"/>
  <c r="I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</author>
  </authors>
  <commentList>
    <comment ref="A2" authorId="0" shapeId="0" xr:uid="{00000000-0006-0000-0000-000001000000}">
      <text>
        <r>
          <rPr>
            <b/>
            <sz val="10"/>
            <color rgb="FF000000"/>
            <rFont val="Tahoma"/>
            <family val="2"/>
          </rPr>
          <t>Calcolo dei tempi di eposizione massimi permessi in funzione dell'irradianza netta per alcune delle grandezze previste nell'All. XXXVII del D. Lgs. 81/08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B3" authorId="0" shapeId="0" xr:uid="{00000000-0006-0000-0000-000002000000}">
      <text>
        <r>
          <rPr>
            <b/>
            <sz val="10"/>
            <color rgb="FF000000"/>
            <rFont val="Tahoma"/>
            <family val="2"/>
          </rPr>
          <t>Valore di irradianza totale comprensivo della sorgente e del fondo</t>
        </r>
      </text>
    </comment>
    <comment ref="C3" authorId="0" shapeId="0" xr:uid="{00000000-0006-0000-0000-000003000000}">
      <text>
        <r>
          <rPr>
            <b/>
            <sz val="10"/>
            <color rgb="FF000000"/>
            <rFont val="Tahoma"/>
            <family val="2"/>
          </rPr>
          <t>Valore dell'irradianza del fondo, valutato senza sorgente</t>
        </r>
      </text>
    </comment>
    <comment ref="D3" authorId="0" shapeId="0" xr:uid="{00000000-0006-0000-0000-000004000000}">
      <text>
        <r>
          <rPr>
            <b/>
            <sz val="10"/>
            <color rgb="FF000000"/>
            <rFont val="Tahoma"/>
            <family val="2"/>
          </rPr>
          <t>Irradianza della sola sorgente, ottenuta sottraendo all'irradianza totale (Irr tot) quella del fondo (Irr fondo)</t>
        </r>
      </text>
    </comment>
    <comment ref="E3" authorId="0" shapeId="0" xr:uid="{00000000-0006-0000-0000-000005000000}">
      <text>
        <r>
          <rPr>
            <b/>
            <sz val="10"/>
            <color rgb="FF000000"/>
            <rFont val="Tahoma"/>
            <family val="2"/>
          </rPr>
          <t>Rapporto percentuale fra il valore di irradianza della sorgente e valore di irradianza oltre il quale si superano i limiti di legge</t>
        </r>
      </text>
    </comment>
    <comment ref="F3" authorId="0" shapeId="0" xr:uid="{00000000-0006-0000-0000-000006000000}">
      <text>
        <r>
          <rPr>
            <b/>
            <sz val="10"/>
            <color rgb="FF000000"/>
            <rFont val="Tahoma"/>
            <family val="2"/>
          </rPr>
          <t>tempo di esposizione oltre il quale si superano i limiti di legge, espresso in secondi</t>
        </r>
      </text>
    </comment>
    <comment ref="G3" authorId="0" shapeId="0" xr:uid="{00000000-0006-0000-0000-000007000000}">
      <text>
        <r>
          <rPr>
            <b/>
            <sz val="10"/>
            <color rgb="FF000000"/>
            <rFont val="Tahoma"/>
            <family val="2"/>
          </rPr>
          <t>tempo di esposizione oltre il quale si superano i limiti di legge, espresso in ore, minuti, secondi</t>
        </r>
      </text>
    </comment>
    <comment ref="J3" authorId="0" shapeId="0" xr:uid="{00000000-0006-0000-0000-000008000000}">
      <text>
        <r>
          <rPr>
            <b/>
            <sz val="10"/>
            <color rgb="FF000000"/>
            <rFont val="Tahoma"/>
            <family val="2"/>
          </rPr>
          <t>Percentuale della dose giornaliera permessa, assumendo un tempo di esposizione di 24 ore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4" authorId="0" shapeId="0" xr:uid="{00000000-0006-0000-0000-000009000000}">
      <text>
        <r>
          <rPr>
            <b/>
            <sz val="10"/>
            <color rgb="FF000000"/>
            <rFont val="Tahoma"/>
            <family val="2"/>
          </rPr>
          <t>Irradianza efficace per il danno da UV (occhi e cute) come definito nell'All. XXXVII del D.Lgs. 81/08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5" authorId="0" shapeId="0" xr:uid="{00000000-0006-0000-0000-00000A000000}">
      <text>
        <r>
          <rPr>
            <b/>
            <sz val="10"/>
            <color rgb="FF000000"/>
            <rFont val="Arial"/>
            <family val="2"/>
          </rPr>
          <t>Irradianza efficace per il danno da UVA (cristallino) come definito nell'All. XXXVII del D.Lgs. 81/08</t>
        </r>
        <r>
          <rPr>
            <sz val="10"/>
            <color rgb="FF000000"/>
            <rFont val="Arial"/>
            <family val="2"/>
          </rPr>
          <t xml:space="preserve">
</t>
        </r>
      </text>
    </comment>
    <comment ref="A6" authorId="0" shapeId="0" xr:uid="{00000000-0006-0000-0000-00000B000000}">
      <text>
        <r>
          <rPr>
            <b/>
            <sz val="10"/>
            <color rgb="FF000000"/>
            <rFont val="Arial"/>
            <family val="2"/>
          </rPr>
          <t>Radianza efficace per il danno da luce blu per sorgenti estese, come definito nell'All. XXXVII del D.Lgs. 81/08</t>
        </r>
        <r>
          <rPr>
            <sz val="10"/>
            <color rgb="FF000000"/>
            <rFont val="Arial"/>
            <family val="2"/>
          </rPr>
          <t xml:space="preserve">
</t>
        </r>
      </text>
    </comment>
    <comment ref="A7" authorId="0" shapeId="0" xr:uid="{00000000-0006-0000-0000-00000C000000}">
      <text>
        <r>
          <rPr>
            <b/>
            <sz val="10"/>
            <color rgb="FF000000"/>
            <rFont val="Arial"/>
            <family val="2"/>
          </rPr>
          <t>Radianza efficace per il danno da luce blu per sorgenti piccole, come definito nell'All. XXXVII del D.Lgs. 81/08</t>
        </r>
        <r>
          <rPr>
            <sz val="10"/>
            <color rgb="FF000000"/>
            <rFont val="Arial"/>
            <family val="2"/>
          </rPr>
          <t xml:space="preserve">
</t>
        </r>
      </text>
    </comment>
    <comment ref="A8" authorId="0" shapeId="0" xr:uid="{00000000-0006-0000-0000-00000D000000}">
      <text>
        <r>
          <rPr>
            <b/>
            <sz val="10"/>
            <color rgb="FF000000"/>
            <rFont val="Arial"/>
            <family val="2"/>
          </rPr>
          <t>Irradianza efficace per il danno termico della camera anteriore dell'occhio, come definito nell'All. XXXVII del D.Lgs. 81/08</t>
        </r>
        <r>
          <rPr>
            <sz val="10"/>
            <color rgb="FF000000"/>
            <rFont val="Arial"/>
            <family val="2"/>
          </rPr>
          <t xml:space="preserve">
</t>
        </r>
      </text>
    </comment>
    <comment ref="A9" authorId="0" shapeId="0" xr:uid="{00000000-0006-0000-0000-00000E000000}">
      <text>
        <r>
          <rPr>
            <b/>
            <sz val="10"/>
            <color rgb="FF000000"/>
            <rFont val="Arial"/>
            <family val="2"/>
          </rPr>
          <t>Irradianza efficace per il danno termico della cute, come definito nell'All. XXXVII del D.Lgs. 81/08</t>
        </r>
        <r>
          <rPr>
            <sz val="10"/>
            <color rgb="FF000000"/>
            <rFont val="Arial"/>
            <family val="2"/>
          </rPr>
          <t xml:space="preserve">
</t>
        </r>
      </text>
    </comment>
    <comment ref="A11" authorId="0" shapeId="0" xr:uid="{00000000-0006-0000-0000-00000F000000}">
      <text>
        <r>
          <rPr>
            <b/>
            <sz val="10"/>
            <color rgb="FF000000"/>
            <rFont val="Tahoma"/>
            <family val="2"/>
          </rPr>
          <t>Calcolo del tempo di esposizione per prevenire la cataratta, considerando l'effetto della temperatura ambiente, come indicato nel documento ICNIRP "statement on infrared radiation exposure" 2006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12" authorId="0" shapeId="0" xr:uid="{00000000-0006-0000-0000-000010000000}">
      <text>
        <r>
          <rPr>
            <b/>
            <sz val="10"/>
            <color rgb="FF000000"/>
            <rFont val="Arial"/>
            <family val="2"/>
          </rPr>
          <t>Irradianza efficace per il danno termico della camera anteriore dell'occhio, come definito nell'All. XXXVII del D.Lgs. 81/08</t>
        </r>
        <r>
          <rPr>
            <sz val="10"/>
            <color rgb="FF000000"/>
            <rFont val="Arial"/>
            <family val="2"/>
          </rPr>
          <t xml:space="preserve">
</t>
        </r>
      </text>
    </comment>
    <comment ref="A13" authorId="0" shapeId="0" xr:uid="{00000000-0006-0000-0000-000011000000}">
      <text>
        <r>
          <rPr>
            <b/>
            <sz val="10"/>
            <color rgb="FF000000"/>
            <rFont val="Tahoma"/>
            <family val="2"/>
          </rPr>
          <t>temperatura dell'ambiente dove staziona l'operatore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14" authorId="0" shapeId="0" xr:uid="{00000000-0006-0000-0000-000012000000}">
      <text>
        <r>
          <rPr>
            <b/>
            <sz val="10"/>
            <color rgb="FF000000"/>
            <rFont val="Tahoma"/>
            <family val="2"/>
          </rPr>
          <t>Irradianza limite per il riscaldamento della camera anteriore dell'occhio come definita nel documento ICNIRP " Statement on far infrared radiation exposure" del 2006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18" authorId="0" shapeId="0" xr:uid="{00000000-0006-0000-0000-000013000000}">
      <text>
        <r>
          <rPr>
            <b/>
            <sz val="10"/>
            <color rgb="FF000000"/>
            <rFont val="Tahoma"/>
            <family val="2"/>
          </rPr>
          <t>Lunghezza della sorgente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19" authorId="0" shapeId="0" xr:uid="{00000000-0006-0000-0000-000014000000}">
      <text>
        <r>
          <rPr>
            <b/>
            <sz val="10"/>
            <color rgb="FF000000"/>
            <rFont val="Tahoma"/>
            <family val="2"/>
          </rPr>
          <t>Valore dell'irradianza misurato a distanza dm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20" authorId="0" shapeId="0" xr:uid="{00000000-0006-0000-0000-000015000000}">
      <text>
        <r>
          <rPr>
            <b/>
            <sz val="10"/>
            <color rgb="FF000000"/>
            <rFont val="Tahoma"/>
            <family val="2"/>
          </rPr>
          <t>Distanza alla quale è stato misurato il valore di irradianza Em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D20" authorId="0" shapeId="0" xr:uid="{00000000-0006-0000-0000-000016000000}">
      <text>
        <r>
          <rPr>
            <b/>
            <sz val="10"/>
            <color rgb="FF000000"/>
            <rFont val="Tahoma"/>
            <family val="2"/>
          </rPr>
          <t>valore di irradianza calcolato alla distanza dc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21" authorId="0" shapeId="0" xr:uid="{00000000-0006-0000-0000-000017000000}">
      <text>
        <r>
          <rPr>
            <b/>
            <sz val="10"/>
            <color rgb="FF000000"/>
            <rFont val="Tahoma"/>
            <family val="2"/>
          </rPr>
          <t>distanza alla quale si vuol calcolare il valore di irradianza</t>
        </r>
        <r>
          <rPr>
            <sz val="10"/>
            <color rgb="FF000000"/>
            <rFont val="Tahoma"/>
            <family val="2"/>
          </rPr>
          <t xml:space="preserve"> Ec</t>
        </r>
      </text>
    </comment>
    <comment ref="A24" authorId="0" shapeId="0" xr:uid="{C6166C82-202B-5B43-8EED-8C8E10BDE987}">
      <text>
        <r>
          <rPr>
            <b/>
            <sz val="10"/>
            <color rgb="FF000000"/>
            <rFont val="Tahoma"/>
            <family val="2"/>
          </rPr>
          <t>Potenza totale emessa dalla sorgente</t>
        </r>
      </text>
    </comment>
    <comment ref="A25" authorId="0" shapeId="0" xr:uid="{9F1182C5-CBB9-2F4F-BE9D-3F6CD823F420}">
      <text>
        <r>
          <rPr>
            <b/>
            <sz val="10"/>
            <color rgb="FF000000"/>
            <rFont val="Tahoma"/>
            <family val="2"/>
          </rPr>
          <t>Lunghezza della sorgente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D25" authorId="0" shapeId="0" xr:uid="{A72B8561-7DA6-2240-91F1-EE9B77E0BE24}">
      <text>
        <r>
          <rPr>
            <b/>
            <sz val="10"/>
            <color rgb="FF000000"/>
            <rFont val="Tahoma"/>
            <family val="2"/>
          </rPr>
          <t>valore di irradianza calcolato alla distanza scelta</t>
        </r>
      </text>
    </comment>
    <comment ref="A26" authorId="0" shapeId="0" xr:uid="{DD06C7F9-0442-7747-8C98-2395BA1A4002}">
      <text>
        <r>
          <rPr>
            <b/>
            <sz val="10"/>
            <color rgb="FF000000"/>
            <rFont val="Tahoma"/>
            <family val="2"/>
          </rPr>
          <t>distanza di calcolo</t>
        </r>
      </text>
    </comment>
    <comment ref="A31" authorId="0" shapeId="0" xr:uid="{00000000-0006-0000-0000-000018000000}">
      <text>
        <r>
          <rPr>
            <b/>
            <sz val="10"/>
            <color rgb="FF000000"/>
            <rFont val="Tahoma"/>
            <family val="2"/>
          </rPr>
          <t>diametro della sorgente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32" authorId="0" shapeId="0" xr:uid="{00000000-0006-0000-0000-000019000000}">
      <text>
        <r>
          <rPr>
            <b/>
            <sz val="10"/>
            <color rgb="FF000000"/>
            <rFont val="Tahoma"/>
            <family val="2"/>
          </rPr>
          <t>Valore dell'irradianza misurato alla distanza dm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E32" authorId="0" shapeId="0" xr:uid="{00000000-0006-0000-0000-00001A000000}">
      <text>
        <r>
          <rPr>
            <b/>
            <sz val="10"/>
            <color rgb="FF000000"/>
            <rFont val="Tahoma"/>
            <family val="2"/>
          </rPr>
          <t>Valore di irradianza calcolato alla distanza dc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33" authorId="0" shapeId="0" xr:uid="{00000000-0006-0000-0000-00001B000000}">
      <text>
        <r>
          <rPr>
            <b/>
            <sz val="10"/>
            <color rgb="FF000000"/>
            <rFont val="Tahoma"/>
            <family val="2"/>
          </rPr>
          <t>Distanza alla quale è stato misurato il valore di irradianza Em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34" authorId="0" shapeId="0" xr:uid="{00000000-0006-0000-0000-00001C000000}">
      <text>
        <r>
          <rPr>
            <b/>
            <sz val="10"/>
            <color rgb="FF000000"/>
            <rFont val="Tahoma"/>
            <family val="2"/>
          </rPr>
          <t>Distanza alla quale si vuol calcolare il valore di irradianza Ec</t>
        </r>
        <r>
          <rPr>
            <sz val="10"/>
            <color rgb="FF000000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</author>
  </authors>
  <commentList>
    <comment ref="A2" authorId="0" shapeId="0" xr:uid="{00000000-0006-0000-0100-000001000000}">
      <text>
        <r>
          <rPr>
            <b/>
            <sz val="10"/>
            <color rgb="FF000000"/>
            <rFont val="Tahoma"/>
            <family val="2"/>
          </rPr>
          <t>Angolo sotteso da una sorgente circolare vista da un osservatore posizionato in asse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G2" authorId="0" shapeId="0" xr:uid="{00000000-0006-0000-0100-000002000000}">
      <text>
        <r>
          <rPr>
            <b/>
            <sz val="10"/>
            <color rgb="FF000000"/>
            <rFont val="Tahoma"/>
            <family val="2"/>
          </rPr>
          <t>Calcolo dell'illuminanza data da una sorgente ad una data distanza. Il valore trovato è valido a rigore solo nel punto della superficie in asse alla sorgente o per una superficie sferica con al centro la sorgente.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3" authorId="0" shapeId="0" xr:uid="{00000000-0006-0000-0100-000003000000}">
      <text>
        <r>
          <rPr>
            <b/>
            <sz val="10"/>
            <color rgb="FF000000"/>
            <rFont val="Tahoma"/>
            <family val="2"/>
          </rPr>
          <t>distanza di osservazione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4" authorId="0" shapeId="0" xr:uid="{00000000-0006-0000-0100-000004000000}">
      <text>
        <r>
          <rPr>
            <b/>
            <sz val="10"/>
            <color rgb="FF000000"/>
            <rFont val="Tahoma"/>
            <family val="2"/>
          </rPr>
          <t>diametro della sorgente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G4" authorId="0" shapeId="0" xr:uid="{00000000-0006-0000-0100-000005000000}">
      <text>
        <r>
          <rPr>
            <b/>
            <sz val="10"/>
            <color rgb="FF000000"/>
            <rFont val="Tahoma"/>
            <family val="2"/>
          </rPr>
          <t>Angolo piano entro cui viene emessa la radiazione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5" authorId="0" shapeId="0" xr:uid="{00000000-0006-0000-0100-000006000000}">
      <text>
        <r>
          <rPr>
            <b/>
            <sz val="10"/>
            <color rgb="FF000000"/>
            <rFont val="Tahoma"/>
            <family val="2"/>
          </rPr>
          <t>angolo piano sotteso dalla sorgente (misurato in radianti)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G5" authorId="0" shapeId="0" xr:uid="{00000000-0006-0000-0100-000007000000}">
      <text>
        <r>
          <rPr>
            <b/>
            <sz val="10"/>
            <color rgb="FF000000"/>
            <rFont val="Tahoma"/>
            <family val="2"/>
          </rPr>
          <t>Distanza della superficie su cui incide la radiazione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G6" authorId="0" shapeId="0" xr:uid="{00000000-0006-0000-0100-000008000000}">
      <text>
        <r>
          <rPr>
            <b/>
            <sz val="10"/>
            <color rgb="FF000000"/>
            <rFont val="Tahoma"/>
            <family val="2"/>
          </rPr>
          <t>Angolo solido in cui viene emessa la radiazione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7" authorId="0" shapeId="0" xr:uid="{00000000-0006-0000-0100-000009000000}">
      <text>
        <r>
          <rPr>
            <b/>
            <sz val="10"/>
            <color rgb="FF000000"/>
            <rFont val="Tahoma"/>
            <family val="2"/>
          </rPr>
          <t>angolo solido sotteso dalla sorgente (misurato in steradianti)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G7" authorId="0" shapeId="0" xr:uid="{00000000-0006-0000-0100-00000A000000}">
      <text>
        <r>
          <rPr>
            <b/>
            <sz val="10"/>
            <color rgb="FF000000"/>
            <rFont val="Tahoma"/>
            <family val="2"/>
          </rPr>
          <t>Area su cui incide la radiazione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G8" authorId="0" shapeId="0" xr:uid="{00000000-0006-0000-0100-00000B000000}">
      <text>
        <r>
          <rPr>
            <b/>
            <sz val="10"/>
            <color rgb="FF000000"/>
            <rFont val="Tahoma"/>
            <family val="2"/>
          </rPr>
          <t>Illuminanza sulla superficie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G11" authorId="0" shapeId="0" xr:uid="{00000000-0006-0000-0100-00000C000000}">
      <text>
        <r>
          <rPr>
            <b/>
            <sz val="10"/>
            <color rgb="FF000000"/>
            <rFont val="Tahoma"/>
            <family val="2"/>
          </rPr>
          <t>Calcolo della divergenza di una sorgente, espressa in termini di angolo piano ed angolo solido entro cui viene emessa la radiazione, in funzione del flusso luminoso e dell'intensità luminosa.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13" authorId="0" shapeId="0" xr:uid="{00000000-0006-0000-0100-00000D000000}">
      <text>
        <r>
          <rPr>
            <b/>
            <sz val="10"/>
            <color rgb="FF000000"/>
            <rFont val="Tahoma"/>
            <family val="2"/>
          </rPr>
          <t>Calcolo della divergenza di una sorgente, espressa in termini di angolo piano ed angolo solido entro cui viene emessa la radiazione, a partire dal dato di flusso luminoso e dal valore di illuminanza ad una data distanza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G14" authorId="0" shapeId="0" xr:uid="{00000000-0006-0000-0100-00000E000000}">
      <text>
        <r>
          <rPr>
            <b/>
            <sz val="10"/>
            <color rgb="FF000000"/>
            <rFont val="Tahoma"/>
            <family val="2"/>
          </rPr>
          <t>Angolo solido entro cui viene emessa la radiazione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G15" authorId="0" shapeId="0" xr:uid="{00000000-0006-0000-0100-00000F000000}">
      <text>
        <r>
          <rPr>
            <b/>
            <sz val="10"/>
            <color rgb="FF000000"/>
            <rFont val="Tahoma"/>
            <family val="2"/>
          </rPr>
          <t>Angolo piano entro cui viene emessa la radiazione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17" authorId="0" shapeId="0" xr:uid="{00000000-0006-0000-0100-000010000000}">
      <text>
        <r>
          <rPr>
            <b/>
            <sz val="10"/>
            <color rgb="FF000000"/>
            <rFont val="Tahoma"/>
            <family val="2"/>
          </rPr>
          <t>Angolo solido entro cui viene emessa la radiazione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G17" authorId="0" shapeId="0" xr:uid="{00000000-0006-0000-0100-000011000000}">
      <text>
        <r>
          <rPr>
            <b/>
            <sz val="10"/>
            <color rgb="FF000000"/>
            <rFont val="Tahoma"/>
            <family val="2"/>
          </rPr>
          <t>Calcolo del flusso luminoso di una sorgente a partire dall'intensità luminosa e angolo piano di emissione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A18" authorId="0" shapeId="0" xr:uid="{00000000-0006-0000-0100-000012000000}">
      <text>
        <r>
          <rPr>
            <b/>
            <sz val="10"/>
            <color rgb="FF000000"/>
            <rFont val="Tahoma"/>
            <family val="2"/>
          </rPr>
          <t>angolo piano entro cui viene emessa la radiazione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G20" authorId="0" shapeId="0" xr:uid="{00000000-0006-0000-0100-000013000000}">
      <text>
        <r>
          <rPr>
            <b/>
            <sz val="10"/>
            <color rgb="FF000000"/>
            <rFont val="Tahoma"/>
            <family val="2"/>
          </rPr>
          <t>Angolo solido corrispondente all'angolo piano inserito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H25" authorId="0" shapeId="0" xr:uid="{00000000-0006-0000-0100-000014000000}">
      <text>
        <r>
          <rPr>
            <b/>
            <sz val="10"/>
            <color rgb="FF000000"/>
            <rFont val="Tahoma"/>
            <family val="2"/>
          </rPr>
          <t>Calcolo del diametro del cerchio avente la stessa area del rettangolo dato</t>
        </r>
        <r>
          <rPr>
            <sz val="10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<sst xmlns="http://schemas.openxmlformats.org/spreadsheetml/2006/main" count="137" uniqueCount="77">
  <si>
    <t>Tempi di esposizione da irradianza</t>
  </si>
  <si>
    <t>Irr tot</t>
  </si>
  <si>
    <t>Irr fondo</t>
  </si>
  <si>
    <t xml:space="preserve"> Irr netta</t>
  </si>
  <si>
    <t>perc</t>
  </si>
  <si>
    <t>t [sec]</t>
  </si>
  <si>
    <t>ore</t>
  </si>
  <si>
    <t>minuti</t>
  </si>
  <si>
    <t>secondi</t>
  </si>
  <si>
    <t>perc dose 24h</t>
  </si>
  <si>
    <t>a: S</t>
  </si>
  <si>
    <t>b: UVA</t>
  </si>
  <si>
    <r>
      <t>c: L</t>
    </r>
    <r>
      <rPr>
        <vertAlign val="subscript"/>
        <sz val="10"/>
        <rFont val="Arial"/>
        <family val="2"/>
      </rPr>
      <t>B</t>
    </r>
  </si>
  <si>
    <r>
      <t>d: E</t>
    </r>
    <r>
      <rPr>
        <vertAlign val="subscript"/>
        <sz val="10"/>
        <rFont val="Arial"/>
        <family val="2"/>
      </rPr>
      <t>B</t>
    </r>
  </si>
  <si>
    <t>m: Eir</t>
  </si>
  <si>
    <t>o: Hskin</t>
  </si>
  <si>
    <t>temperatura</t>
  </si>
  <si>
    <t>°C</t>
  </si>
  <si>
    <t>Limite Eir</t>
  </si>
  <si>
    <t>W/mq</t>
  </si>
  <si>
    <t>Irradianza in funzione della distanza per sorgenti lineari da ISO 15727:2020</t>
  </si>
  <si>
    <t>lunghezza L</t>
  </si>
  <si>
    <t>m</t>
  </si>
  <si>
    <t>alfa mis</t>
  </si>
  <si>
    <t>rad</t>
  </si>
  <si>
    <t>irrad misurata Em</t>
  </si>
  <si>
    <t>W/m2</t>
  </si>
  <si>
    <t>alfa calcolo</t>
  </si>
  <si>
    <t>Irradianza in funzione della distanza per sorgenti estese circolari</t>
  </si>
  <si>
    <t>diametro</t>
  </si>
  <si>
    <t>Area</t>
  </si>
  <si>
    <t>mq</t>
  </si>
  <si>
    <t>distanza</t>
  </si>
  <si>
    <t>cm</t>
  </si>
  <si>
    <t>piano</t>
  </si>
  <si>
    <t>gradi</t>
  </si>
  <si>
    <t>solido</t>
  </si>
  <si>
    <t>sr</t>
  </si>
  <si>
    <t>divergenza</t>
  </si>
  <si>
    <t>radianti</t>
  </si>
  <si>
    <t>Angolo solido</t>
  </si>
  <si>
    <t>Da flusso e intensità a angolo piano</t>
  </si>
  <si>
    <t>illuminanza</t>
  </si>
  <si>
    <t>lux</t>
  </si>
  <si>
    <t>Flusso luminoso</t>
  </si>
  <si>
    <t>lumen</t>
  </si>
  <si>
    <t>flusso lumin</t>
  </si>
  <si>
    <t>Intensità luminosa</t>
  </si>
  <si>
    <t>candele</t>
  </si>
  <si>
    <t>angolo solido</t>
  </si>
  <si>
    <t>angolo piano</t>
  </si>
  <si>
    <t>Da intensità ed angolo piano a flusso luminoso</t>
  </si>
  <si>
    <t>cd</t>
  </si>
  <si>
    <t>fusso lumin</t>
  </si>
  <si>
    <t>Lunghezza</t>
  </si>
  <si>
    <t>Larghezza</t>
  </si>
  <si>
    <t>diametro eq</t>
  </si>
  <si>
    <t>dist misura dm</t>
  </si>
  <si>
    <t>dist calcolo dc</t>
  </si>
  <si>
    <t>Irrad calc Ec</t>
  </si>
  <si>
    <t>Irr misurata Em</t>
  </si>
  <si>
    <t>dist di misura dm</t>
  </si>
  <si>
    <t>Irradianza Eir limite in funzione della temperatura ambiente (ICNIRP "statement on Infrared radiation exposure" 2006)</t>
  </si>
  <si>
    <t>Angolo piano</t>
  </si>
  <si>
    <t>Angolo sotteso da sorgente</t>
  </si>
  <si>
    <t>Conversione fra angolo piano e angolo solido</t>
  </si>
  <si>
    <t>Da illuminanza, flusso, dist a divergenza</t>
  </si>
  <si>
    <t>Calcolo dell'illuminanza di una sorgente</t>
  </si>
  <si>
    <t>Calcolo diametro equivalente</t>
  </si>
  <si>
    <t>Potenza</t>
  </si>
  <si>
    <t>lunghezza</t>
  </si>
  <si>
    <t>alfa</t>
  </si>
  <si>
    <t>irradianza</t>
  </si>
  <si>
    <t>W</t>
  </si>
  <si>
    <t>Dal valore di irradianza a distanza dm a quello a distanza dc</t>
  </si>
  <si>
    <t>Dal valore di potenza totale emessa al valore di irradianza ad una data a distanza</t>
  </si>
  <si>
    <t>Foglio di calcolo Versione 220224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</si>
</sst>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E+000"/>
    <numFmt numFmtId="165" formatCode="0.00000"/>
    <numFmt numFmtId="166" formatCode="0.000"/>
    <numFmt numFmtId="167" formatCode="0.0000"/>
    <numFmt numFmtId="168" formatCode="0.0"/>
  </numFmts>
  <fonts count="13" x14ac:knownFonts="1">
    <font>
      <sz val="10"/>
      <name val="Arial"/>
      <family val="2"/>
    </font>
    <font>
      <sz val="10"/>
      <color indexed="37"/>
      <name val="Arial"/>
      <family val="2"/>
    </font>
    <font>
      <vertAlign val="subscript"/>
      <sz val="10"/>
      <name val="Arial"/>
      <family val="2"/>
    </font>
    <font>
      <sz val="10"/>
      <color indexed="16"/>
      <name val="Arial"/>
      <family val="2"/>
    </font>
    <font>
      <sz val="10"/>
      <color indexed="10"/>
      <name val="Arial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15BFC"/>
      <name val="Arial"/>
      <family val="2"/>
    </font>
    <font>
      <b/>
      <sz val="26"/>
      <name val="Arial"/>
      <family val="2"/>
    </font>
    <font>
      <sz val="10"/>
      <color rgb="FF015BFC"/>
      <name val="Arial"/>
      <family val="2"/>
    </font>
    <font>
      <sz val="10"/>
      <color rgb="FF84220A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10" fontId="3" fillId="0" borderId="0" xfId="0" applyNumberFormat="1" applyFont="1"/>
    <xf numFmtId="1" fontId="3" fillId="0" borderId="0" xfId="0" applyNumberFormat="1" applyFont="1"/>
    <xf numFmtId="2" fontId="0" fillId="0" borderId="0" xfId="0" applyNumberFormat="1"/>
    <xf numFmtId="0" fontId="1" fillId="0" borderId="1" xfId="0" applyFont="1" applyBorder="1"/>
    <xf numFmtId="10" fontId="3" fillId="0" borderId="1" xfId="0" applyNumberFormat="1" applyFont="1" applyBorder="1"/>
    <xf numFmtId="1" fontId="3" fillId="0" borderId="1" xfId="0" applyNumberFormat="1" applyFont="1" applyBorder="1"/>
    <xf numFmtId="0" fontId="3" fillId="0" borderId="0" xfId="0" applyFont="1" applyBorder="1"/>
    <xf numFmtId="0" fontId="0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/>
    <xf numFmtId="0" fontId="0" fillId="0" borderId="0" xfId="0" applyBorder="1"/>
    <xf numFmtId="2" fontId="3" fillId="0" borderId="0" xfId="0" applyNumberFormat="1" applyFont="1" applyBorder="1"/>
    <xf numFmtId="0" fontId="0" fillId="0" borderId="5" xfId="0" applyFont="1" applyBorder="1"/>
    <xf numFmtId="0" fontId="0" fillId="0" borderId="6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2" fontId="3" fillId="0" borderId="8" xfId="0" applyNumberFormat="1" applyFont="1" applyBorder="1"/>
    <xf numFmtId="0" fontId="3" fillId="0" borderId="8" xfId="0" applyFont="1" applyBorder="1"/>
    <xf numFmtId="166" fontId="3" fillId="0" borderId="8" xfId="0" applyNumberFormat="1" applyFont="1" applyBorder="1"/>
    <xf numFmtId="0" fontId="3" fillId="0" borderId="9" xfId="0" applyFont="1" applyBorder="1"/>
    <xf numFmtId="167" fontId="3" fillId="0" borderId="0" xfId="0" applyNumberFormat="1" applyFont="1" applyBorder="1"/>
    <xf numFmtId="168" fontId="3" fillId="0" borderId="8" xfId="0" applyNumberFormat="1" applyFont="1" applyBorder="1"/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1" fontId="3" fillId="0" borderId="0" xfId="0" applyNumberFormat="1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66" fontId="3" fillId="0" borderId="8" xfId="0" applyNumberFormat="1" applyFont="1" applyBorder="1" applyAlignment="1">
      <alignment horizontal="center"/>
    </xf>
    <xf numFmtId="0" fontId="0" fillId="0" borderId="12" xfId="0" applyFont="1" applyBorder="1"/>
    <xf numFmtId="0" fontId="4" fillId="0" borderId="7" xfId="0" applyFont="1" applyBorder="1"/>
    <xf numFmtId="2" fontId="4" fillId="0" borderId="9" xfId="0" applyNumberFormat="1" applyFont="1" applyBorder="1"/>
    <xf numFmtId="0" fontId="0" fillId="0" borderId="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0" fillId="0" borderId="13" xfId="0" applyFont="1" applyBorder="1" applyProtection="1">
      <protection locked="0"/>
    </xf>
    <xf numFmtId="0" fontId="0" fillId="0" borderId="6" xfId="0" applyFont="1" applyBorder="1" applyProtection="1">
      <protection locked="0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0" fillId="0" borderId="3" xfId="0" applyBorder="1"/>
    <xf numFmtId="0" fontId="0" fillId="0" borderId="6" xfId="0" applyFont="1" applyBorder="1" applyAlignment="1">
      <alignment horizontal="right"/>
    </xf>
    <xf numFmtId="11" fontId="0" fillId="0" borderId="0" xfId="0" applyNumberFormat="1" applyBorder="1" applyProtection="1">
      <protection locked="0"/>
    </xf>
    <xf numFmtId="164" fontId="1" fillId="0" borderId="0" xfId="0" applyNumberFormat="1" applyFont="1" applyBorder="1"/>
    <xf numFmtId="10" fontId="1" fillId="0" borderId="0" xfId="0" applyNumberFormat="1" applyFont="1" applyBorder="1"/>
    <xf numFmtId="0" fontId="1" fillId="0" borderId="0" xfId="0" applyFont="1" applyBorder="1"/>
    <xf numFmtId="1" fontId="1" fillId="0" borderId="0" xfId="0" applyNumberFormat="1" applyFont="1" applyBorder="1"/>
    <xf numFmtId="10" fontId="1" fillId="0" borderId="6" xfId="0" applyNumberFormat="1" applyFont="1" applyBorder="1"/>
    <xf numFmtId="0" fontId="0" fillId="0" borderId="8" xfId="0" applyBorder="1" applyProtection="1">
      <protection locked="0"/>
    </xf>
    <xf numFmtId="0" fontId="1" fillId="0" borderId="8" xfId="0" applyFont="1" applyBorder="1"/>
    <xf numFmtId="10" fontId="1" fillId="0" borderId="8" xfId="0" applyNumberFormat="1" applyFont="1" applyBorder="1"/>
    <xf numFmtId="1" fontId="1" fillId="0" borderId="8" xfId="0" applyNumberFormat="1" applyFont="1" applyBorder="1"/>
    <xf numFmtId="0" fontId="9" fillId="0" borderId="10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1" fontId="1" fillId="0" borderId="13" xfId="0" applyNumberFormat="1" applyFont="1" applyBorder="1"/>
    <xf numFmtId="10" fontId="3" fillId="0" borderId="0" xfId="0" applyNumberFormat="1" applyFont="1" applyBorder="1"/>
    <xf numFmtId="1" fontId="3" fillId="0" borderId="0" xfId="0" applyNumberFormat="1" applyFont="1" applyBorder="1"/>
    <xf numFmtId="2" fontId="0" fillId="0" borderId="6" xfId="0" applyNumberFormat="1" applyBorder="1"/>
    <xf numFmtId="10" fontId="3" fillId="0" borderId="8" xfId="0" applyNumberFormat="1" applyFont="1" applyBorder="1"/>
    <xf numFmtId="0" fontId="3" fillId="0" borderId="15" xfId="0" applyFont="1" applyBorder="1"/>
    <xf numFmtId="0" fontId="3" fillId="0" borderId="9" xfId="0" applyFont="1" applyBorder="1"/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165" fontId="1" fillId="0" borderId="0" xfId="0" applyNumberFormat="1" applyFont="1" applyBorder="1"/>
    <xf numFmtId="0" fontId="12" fillId="0" borderId="0" xfId="0" applyFont="1" applyBorder="1"/>
    <xf numFmtId="165" fontId="12" fillId="0" borderId="0" xfId="0" applyNumberFormat="1" applyFont="1" applyBorder="1"/>
    <xf numFmtId="0" fontId="0" fillId="0" borderId="2" xfId="0" applyBorder="1"/>
    <xf numFmtId="0" fontId="9" fillId="0" borderId="5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165" fontId="3" fillId="0" borderId="0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5000B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19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4220A"/>
      <color rgb="FF015B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615759</xdr:colOff>
      <xdr:row>22</xdr:row>
      <xdr:rowOff>96210</xdr:rowOff>
    </xdr:from>
    <xdr:to>
      <xdr:col>8</xdr:col>
      <xdr:colOff>711971</xdr:colOff>
      <xdr:row>25</xdr:row>
      <xdr:rowOff>55864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B117EFF8-C002-B14E-9E29-B8FC36D855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68638" y="3992801"/>
          <a:ext cx="2722803" cy="450336"/>
        </a:xfrm>
        <a:prstGeom prst="rect">
          <a:avLst/>
        </a:prstGeom>
        <a:ln w="9525">
          <a:solidFill>
            <a:srgbClr val="FF0000"/>
          </a:solidFill>
        </a:ln>
      </xdr:spPr>
    </xdr:pic>
    <xdr:clientData/>
  </xdr:twoCellAnchor>
  <xdr:twoCellAnchor editAs="oneCell">
    <xdr:from>
      <xdr:col>5</xdr:col>
      <xdr:colOff>711970</xdr:colOff>
      <xdr:row>17</xdr:row>
      <xdr:rowOff>9621</xdr:rowOff>
    </xdr:from>
    <xdr:to>
      <xdr:col>8</xdr:col>
      <xdr:colOff>558031</xdr:colOff>
      <xdr:row>19</xdr:row>
      <xdr:rowOff>130715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id="{5988FB69-8C6D-A54D-8F5D-07A3B78B9C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64849" y="2924848"/>
          <a:ext cx="2472652" cy="448215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  <xdr:twoCellAnchor editAs="oneCell">
    <xdr:from>
      <xdr:col>6</xdr:col>
      <xdr:colOff>504835</xdr:colOff>
      <xdr:row>28</xdr:row>
      <xdr:rowOff>67350</xdr:rowOff>
    </xdr:from>
    <xdr:to>
      <xdr:col>8</xdr:col>
      <xdr:colOff>240529</xdr:colOff>
      <xdr:row>35</xdr:row>
      <xdr:rowOff>92208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id="{C091A754-8D04-DB44-A9A8-EF33CF12B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46653" y="3559850"/>
          <a:ext cx="1486755" cy="1169782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633721</xdr:colOff>
      <xdr:row>4</xdr:row>
      <xdr:rowOff>26954</xdr:rowOff>
    </xdr:from>
    <xdr:to>
      <xdr:col>4</xdr:col>
      <xdr:colOff>315399</xdr:colOff>
      <xdr:row>6</xdr:row>
      <xdr:rowOff>83898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B3D2BE7-6E18-D444-85AC-E3DDE7EA5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7102" y="684796"/>
          <a:ext cx="1435923" cy="385865"/>
        </a:xfrm>
        <a:prstGeom prst="rect">
          <a:avLst/>
        </a:prstGeom>
      </xdr:spPr>
    </xdr:pic>
    <xdr:clientData/>
  </xdr:twoCellAnchor>
  <xdr:twoCellAnchor editAs="oneCell">
    <xdr:from>
      <xdr:col>2</xdr:col>
      <xdr:colOff>594067</xdr:colOff>
      <xdr:row>6</xdr:row>
      <xdr:rowOff>105775</xdr:rowOff>
    </xdr:from>
    <xdr:to>
      <xdr:col>4</xdr:col>
      <xdr:colOff>326545</xdr:colOff>
      <xdr:row>9</xdr:row>
      <xdr:rowOff>24485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88107C8-DD15-D947-BB50-5AB5C707E8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57448" y="1092538"/>
          <a:ext cx="1486723" cy="412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zoomScale="132" workbookViewId="0">
      <selection activeCell="K30" sqref="K30"/>
    </sheetView>
  </sheetViews>
  <sheetFormatPr baseColWidth="10" defaultColWidth="11.5" defaultRowHeight="13" x14ac:dyDescent="0.15"/>
  <cols>
    <col min="1" max="1" width="15.33203125" customWidth="1"/>
    <col min="5" max="5" width="12.6640625" bestFit="1" customWidth="1"/>
    <col min="10" max="10" width="14.83203125" customWidth="1"/>
  </cols>
  <sheetData>
    <row r="1" spans="1:10" ht="32" customHeight="1" x14ac:dyDescent="0.35">
      <c r="A1" s="49" t="s">
        <v>76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x14ac:dyDescent="0.15">
      <c r="A2" s="64" t="s">
        <v>0</v>
      </c>
      <c r="B2" s="65"/>
      <c r="C2" s="65"/>
      <c r="D2" s="65"/>
      <c r="E2" s="65"/>
      <c r="F2" s="67"/>
      <c r="G2" s="67"/>
      <c r="H2" s="67"/>
      <c r="I2" s="67"/>
      <c r="J2" s="28"/>
    </row>
    <row r="3" spans="1:10" x14ac:dyDescent="0.15">
      <c r="A3" s="29"/>
      <c r="B3" s="12" t="s">
        <v>1</v>
      </c>
      <c r="C3" s="12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68" t="s">
        <v>9</v>
      </c>
    </row>
    <row r="4" spans="1:10" x14ac:dyDescent="0.15">
      <c r="A4" s="29" t="s">
        <v>10</v>
      </c>
      <c r="B4" s="69">
        <v>8.0000000000000002E-3</v>
      </c>
      <c r="C4" s="45">
        <v>3.5000000000000001E-3</v>
      </c>
      <c r="D4" s="70">
        <f t="shared" ref="D4:D9" si="0">B4-C4</f>
        <v>4.5000000000000005E-3</v>
      </c>
      <c r="E4" s="71">
        <f>D4/0.001041667</f>
        <v>4.3199986176004428</v>
      </c>
      <c r="F4" s="72">
        <f>30/D4</f>
        <v>6666.6666666666661</v>
      </c>
      <c r="G4" s="72">
        <f t="shared" ref="G4:G9" si="1">INT(F4/3600)</f>
        <v>1</v>
      </c>
      <c r="H4" s="72">
        <f t="shared" ref="H4:H9" si="2">INT((F4-3600*G4)/60)</f>
        <v>51</v>
      </c>
      <c r="I4" s="73">
        <f t="shared" ref="I4:I9" si="3">F4-3600*G4-60*H4</f>
        <v>6.6666666666660603</v>
      </c>
      <c r="J4" s="74">
        <f>D4/0.000347</f>
        <v>12.968299711815565</v>
      </c>
    </row>
    <row r="5" spans="1:10" x14ac:dyDescent="0.15">
      <c r="A5" s="29" t="s">
        <v>11</v>
      </c>
      <c r="B5" s="69">
        <v>0.44</v>
      </c>
      <c r="C5" s="45">
        <v>0.1</v>
      </c>
      <c r="D5" s="70">
        <f t="shared" si="0"/>
        <v>0.33999999999999997</v>
      </c>
      <c r="E5" s="71">
        <f>D5/0.347</f>
        <v>0.97982708933717577</v>
      </c>
      <c r="F5" s="73">
        <f>(10^4)/D5</f>
        <v>29411.764705882357</v>
      </c>
      <c r="G5" s="72">
        <f t="shared" si="1"/>
        <v>8</v>
      </c>
      <c r="H5" s="72">
        <f t="shared" si="2"/>
        <v>10</v>
      </c>
      <c r="I5" s="73">
        <f t="shared" si="3"/>
        <v>11.764705882356793</v>
      </c>
      <c r="J5" s="74">
        <f>D5/0.116</f>
        <v>2.9310344827586201</v>
      </c>
    </row>
    <row r="6" spans="1:10" ht="15" x14ac:dyDescent="0.2">
      <c r="A6" s="29" t="s">
        <v>12</v>
      </c>
      <c r="B6" s="45">
        <v>500</v>
      </c>
      <c r="C6" s="45">
        <v>350</v>
      </c>
      <c r="D6" s="70">
        <f t="shared" si="0"/>
        <v>150</v>
      </c>
      <c r="E6" s="71">
        <f>D6/1000000</f>
        <v>1.4999999999999999E-4</v>
      </c>
      <c r="F6" s="73">
        <f>1000000/D6</f>
        <v>6666.666666666667</v>
      </c>
      <c r="G6" s="72">
        <f t="shared" si="1"/>
        <v>1</v>
      </c>
      <c r="H6" s="72">
        <f t="shared" si="2"/>
        <v>51</v>
      </c>
      <c r="I6" s="73">
        <f t="shared" si="3"/>
        <v>6.6666666666669698</v>
      </c>
      <c r="J6" s="30"/>
    </row>
    <row r="7" spans="1:10" ht="15" x14ac:dyDescent="0.2">
      <c r="A7" s="29" t="s">
        <v>13</v>
      </c>
      <c r="B7" s="45">
        <v>0.03</v>
      </c>
      <c r="C7" s="45">
        <v>0.01</v>
      </c>
      <c r="D7" s="70">
        <f t="shared" si="0"/>
        <v>1.9999999999999997E-2</v>
      </c>
      <c r="E7" s="71">
        <f>D7/100</f>
        <v>1.9999999999999998E-4</v>
      </c>
      <c r="F7" s="72">
        <f>100/D7</f>
        <v>5000.0000000000009</v>
      </c>
      <c r="G7" s="72">
        <f t="shared" si="1"/>
        <v>1</v>
      </c>
      <c r="H7" s="72">
        <f t="shared" si="2"/>
        <v>23</v>
      </c>
      <c r="I7" s="73">
        <f t="shared" si="3"/>
        <v>20.000000000000909</v>
      </c>
      <c r="J7" s="30"/>
    </row>
    <row r="8" spans="1:10" x14ac:dyDescent="0.15">
      <c r="A8" s="29" t="s">
        <v>14</v>
      </c>
      <c r="B8" s="45">
        <v>110</v>
      </c>
      <c r="C8" s="45">
        <v>30</v>
      </c>
      <c r="D8" s="72">
        <f t="shared" si="0"/>
        <v>80</v>
      </c>
      <c r="E8" s="71">
        <f>D8/100</f>
        <v>0.8</v>
      </c>
      <c r="F8" s="73">
        <f>(18000/D8)^(1.3303)</f>
        <v>1346.1963349430828</v>
      </c>
      <c r="G8" s="72">
        <f t="shared" si="1"/>
        <v>0</v>
      </c>
      <c r="H8" s="72">
        <f t="shared" si="2"/>
        <v>22</v>
      </c>
      <c r="I8" s="73">
        <f t="shared" si="3"/>
        <v>26.196334943082775</v>
      </c>
      <c r="J8" s="30"/>
    </row>
    <row r="9" spans="1:10" x14ac:dyDescent="0.15">
      <c r="A9" s="31" t="s">
        <v>15</v>
      </c>
      <c r="B9" s="75">
        <v>400</v>
      </c>
      <c r="C9" s="75">
        <v>120</v>
      </c>
      <c r="D9" s="76">
        <f t="shared" si="0"/>
        <v>280</v>
      </c>
      <c r="E9" s="77">
        <f>D9/3556.5</f>
        <v>7.8729087586109942E-2</v>
      </c>
      <c r="F9" s="78">
        <f>(20000/D9)^(4/3)</f>
        <v>296.36661905937279</v>
      </c>
      <c r="G9" s="76">
        <f t="shared" si="1"/>
        <v>0</v>
      </c>
      <c r="H9" s="76">
        <f t="shared" si="2"/>
        <v>4</v>
      </c>
      <c r="I9" s="78">
        <f t="shared" si="3"/>
        <v>56.366619059372795</v>
      </c>
      <c r="J9" s="33"/>
    </row>
    <row r="10" spans="1:10" x14ac:dyDescent="0.15">
      <c r="D10" s="1"/>
      <c r="E10" s="2"/>
      <c r="F10" s="3"/>
      <c r="I10" s="4"/>
    </row>
    <row r="11" spans="1:10" x14ac:dyDescent="0.15">
      <c r="A11" s="79" t="s">
        <v>62</v>
      </c>
      <c r="B11" s="80"/>
      <c r="C11" s="80"/>
      <c r="D11" s="80"/>
      <c r="E11" s="80"/>
      <c r="F11" s="80"/>
      <c r="G11" s="80"/>
      <c r="H11" s="80"/>
      <c r="I11" s="81"/>
    </row>
    <row r="12" spans="1:10" x14ac:dyDescent="0.15">
      <c r="A12" s="41" t="s">
        <v>14</v>
      </c>
      <c r="B12" s="44">
        <v>250</v>
      </c>
      <c r="C12" s="44">
        <v>0</v>
      </c>
      <c r="D12" s="5">
        <f>B12-C12</f>
        <v>250</v>
      </c>
      <c r="E12" s="6">
        <f>D12/B14</f>
        <v>0.95419847328244278</v>
      </c>
      <c r="F12" s="7">
        <f>(180*B14/D12)^(1.3303)</f>
        <v>1064.818597937478</v>
      </c>
      <c r="G12" s="5">
        <f>INT(F12/3600)</f>
        <v>0</v>
      </c>
      <c r="H12" s="5">
        <f>INT((F12-3600*G12)/60)</f>
        <v>17</v>
      </c>
      <c r="I12" s="82">
        <f>F12-3600*G12-60*H12</f>
        <v>44.818597937477989</v>
      </c>
    </row>
    <row r="13" spans="1:10" x14ac:dyDescent="0.15">
      <c r="A13" s="14" t="s">
        <v>16</v>
      </c>
      <c r="B13" s="45">
        <v>10</v>
      </c>
      <c r="C13" s="12" t="s">
        <v>17</v>
      </c>
      <c r="D13" s="12"/>
      <c r="E13" s="83"/>
      <c r="F13" s="84"/>
      <c r="G13" s="12"/>
      <c r="H13" s="12"/>
      <c r="I13" s="85"/>
    </row>
    <row r="14" spans="1:10" x14ac:dyDescent="0.15">
      <c r="A14" s="18" t="s">
        <v>18</v>
      </c>
      <c r="B14" s="20">
        <f>100+6*(37-B13)</f>
        <v>262</v>
      </c>
      <c r="C14" s="86" t="s">
        <v>19</v>
      </c>
      <c r="D14" s="87"/>
      <c r="E14" s="87"/>
      <c r="F14" s="87"/>
      <c r="G14" s="87"/>
      <c r="H14" s="87"/>
      <c r="I14" s="88"/>
    </row>
    <row r="16" spans="1:10" x14ac:dyDescent="0.15">
      <c r="A16" s="64" t="s">
        <v>20</v>
      </c>
      <c r="B16" s="65"/>
      <c r="C16" s="65"/>
      <c r="D16" s="65"/>
      <c r="E16" s="65"/>
      <c r="F16" s="65"/>
      <c r="G16" s="67"/>
      <c r="H16" s="67"/>
      <c r="I16" s="28"/>
    </row>
    <row r="17" spans="1:9" x14ac:dyDescent="0.15">
      <c r="A17" s="89" t="s">
        <v>74</v>
      </c>
      <c r="B17" s="90"/>
      <c r="C17" s="90"/>
      <c r="D17" s="90"/>
      <c r="E17" s="90"/>
      <c r="F17" s="91"/>
      <c r="G17" s="12"/>
      <c r="H17" s="12"/>
      <c r="I17" s="30"/>
    </row>
    <row r="18" spans="1:9" x14ac:dyDescent="0.15">
      <c r="A18" s="29" t="s">
        <v>21</v>
      </c>
      <c r="B18" s="45">
        <v>1</v>
      </c>
      <c r="C18" s="12" t="s">
        <v>22</v>
      </c>
      <c r="D18" s="72" t="s">
        <v>23</v>
      </c>
      <c r="E18" s="92">
        <f>ATAN(B18/2/B20)</f>
        <v>1.1902899496825317</v>
      </c>
      <c r="F18" s="72" t="s">
        <v>24</v>
      </c>
      <c r="G18" s="12"/>
      <c r="H18" s="12"/>
      <c r="I18" s="30"/>
    </row>
    <row r="19" spans="1:9" x14ac:dyDescent="0.15">
      <c r="A19" s="29" t="s">
        <v>25</v>
      </c>
      <c r="B19" s="45">
        <v>4.5999999999999996</v>
      </c>
      <c r="C19" s="12" t="s">
        <v>26</v>
      </c>
      <c r="D19" s="72" t="s">
        <v>27</v>
      </c>
      <c r="E19" s="92">
        <f>ATAN(B18/2/B21)</f>
        <v>2.0830320036217084E-2</v>
      </c>
      <c r="F19" s="72" t="s">
        <v>24</v>
      </c>
      <c r="G19" s="12"/>
      <c r="H19" s="12"/>
      <c r="I19" s="30"/>
    </row>
    <row r="20" spans="1:9" x14ac:dyDescent="0.15">
      <c r="A20" s="29" t="s">
        <v>57</v>
      </c>
      <c r="B20" s="45">
        <v>0.2</v>
      </c>
      <c r="C20" s="12" t="s">
        <v>22</v>
      </c>
      <c r="D20" s="72" t="s">
        <v>59</v>
      </c>
      <c r="E20" s="92">
        <f>B19*B20*(2*E19+SIN(2*E19))/(2*E18+SIN(2*E18))/B21</f>
        <v>1.0401550409920941E-3</v>
      </c>
      <c r="F20" s="72" t="s">
        <v>26</v>
      </c>
      <c r="G20" s="12"/>
      <c r="H20" s="12"/>
      <c r="I20" s="30"/>
    </row>
    <row r="21" spans="1:9" x14ac:dyDescent="0.15">
      <c r="A21" s="29" t="s">
        <v>58</v>
      </c>
      <c r="B21" s="45">
        <v>24</v>
      </c>
      <c r="C21" s="12" t="s">
        <v>22</v>
      </c>
      <c r="D21" s="12"/>
      <c r="E21" s="12"/>
      <c r="F21" s="12"/>
      <c r="G21" s="12"/>
      <c r="H21" s="12"/>
      <c r="I21" s="30"/>
    </row>
    <row r="22" spans="1:9" x14ac:dyDescent="0.15">
      <c r="A22" s="29"/>
      <c r="B22" s="12"/>
      <c r="C22" s="12"/>
      <c r="D22" s="12"/>
      <c r="E22" s="12"/>
      <c r="F22" s="12"/>
      <c r="G22" s="12"/>
      <c r="H22" s="12"/>
      <c r="I22" s="30"/>
    </row>
    <row r="23" spans="1:9" x14ac:dyDescent="0.15">
      <c r="A23" s="89" t="s">
        <v>75</v>
      </c>
      <c r="B23" s="90"/>
      <c r="C23" s="90"/>
      <c r="D23" s="90"/>
      <c r="E23" s="90"/>
      <c r="F23" s="12"/>
      <c r="G23" s="12"/>
      <c r="H23" s="12"/>
      <c r="I23" s="30"/>
    </row>
    <row r="24" spans="1:9" x14ac:dyDescent="0.15">
      <c r="A24" s="29" t="s">
        <v>69</v>
      </c>
      <c r="B24" s="45">
        <v>28</v>
      </c>
      <c r="C24" s="12" t="s">
        <v>73</v>
      </c>
      <c r="D24" s="93" t="s">
        <v>71</v>
      </c>
      <c r="E24" s="94">
        <f>ATAN(B25/2/B26)</f>
        <v>0.19258327745991854</v>
      </c>
      <c r="F24" s="93" t="s">
        <v>24</v>
      </c>
      <c r="G24" s="12"/>
      <c r="H24" s="12"/>
      <c r="I24" s="30"/>
    </row>
    <row r="25" spans="1:9" x14ac:dyDescent="0.15">
      <c r="A25" s="29" t="s">
        <v>70</v>
      </c>
      <c r="B25" s="45">
        <v>0.39</v>
      </c>
      <c r="C25" s="12" t="s">
        <v>22</v>
      </c>
      <c r="D25" s="93" t="s">
        <v>72</v>
      </c>
      <c r="E25" s="94">
        <f>B24*(2*E24+SIN(2*E24))/(2*3.14^2*B26*B25)</f>
        <v>2.7702587118389559</v>
      </c>
      <c r="F25" s="93" t="s">
        <v>26</v>
      </c>
      <c r="G25" s="12"/>
      <c r="H25" s="12"/>
      <c r="I25" s="30"/>
    </row>
    <row r="26" spans="1:9" x14ac:dyDescent="0.15">
      <c r="A26" s="31" t="s">
        <v>32</v>
      </c>
      <c r="B26" s="75">
        <v>1</v>
      </c>
      <c r="C26" s="32" t="s">
        <v>22</v>
      </c>
      <c r="D26" s="32"/>
      <c r="E26" s="32"/>
      <c r="F26" s="32"/>
      <c r="G26" s="32"/>
      <c r="H26" s="32"/>
      <c r="I26" s="33"/>
    </row>
    <row r="29" spans="1:9" x14ac:dyDescent="0.15">
      <c r="A29" s="95"/>
      <c r="B29" s="67"/>
      <c r="C29" s="67"/>
      <c r="D29" s="67"/>
      <c r="E29" s="67"/>
      <c r="F29" s="67"/>
      <c r="G29" s="67"/>
      <c r="H29" s="67"/>
      <c r="I29" s="28"/>
    </row>
    <row r="30" spans="1:9" x14ac:dyDescent="0.15">
      <c r="A30" s="96" t="s">
        <v>28</v>
      </c>
      <c r="B30" s="97"/>
      <c r="C30" s="97"/>
      <c r="D30" s="97"/>
      <c r="E30" s="97"/>
      <c r="F30" s="12"/>
      <c r="G30" s="12"/>
      <c r="H30" s="12"/>
      <c r="I30" s="30"/>
    </row>
    <row r="31" spans="1:9" x14ac:dyDescent="0.15">
      <c r="A31" s="36" t="s">
        <v>29</v>
      </c>
      <c r="B31" s="45">
        <v>0.5</v>
      </c>
      <c r="C31" s="12" t="s">
        <v>22</v>
      </c>
      <c r="D31" s="12"/>
      <c r="E31" s="8" t="s">
        <v>30</v>
      </c>
      <c r="F31" s="98">
        <f>3.1415927*(B31/2)^2</f>
        <v>0.19634954374999999</v>
      </c>
      <c r="G31" s="8" t="s">
        <v>31</v>
      </c>
      <c r="H31" s="12"/>
      <c r="I31" s="30"/>
    </row>
    <row r="32" spans="1:9" x14ac:dyDescent="0.15">
      <c r="A32" s="29" t="s">
        <v>60</v>
      </c>
      <c r="B32" s="45">
        <v>97</v>
      </c>
      <c r="C32" s="12" t="s">
        <v>19</v>
      </c>
      <c r="D32" s="12"/>
      <c r="E32" s="8" t="s">
        <v>59</v>
      </c>
      <c r="F32" s="98">
        <f>B32*((B31/2)^2+B33^2)/((B31/2)^2+B34^2)</f>
        <v>5.312615384615385</v>
      </c>
      <c r="G32" s="8" t="s">
        <v>19</v>
      </c>
      <c r="H32" s="12"/>
      <c r="I32" s="30"/>
    </row>
    <row r="33" spans="1:9" x14ac:dyDescent="0.15">
      <c r="A33" s="29" t="s">
        <v>61</v>
      </c>
      <c r="B33" s="45">
        <v>0.4</v>
      </c>
      <c r="C33" s="12" t="s">
        <v>22</v>
      </c>
      <c r="D33" s="12"/>
      <c r="E33" s="8"/>
      <c r="F33" s="84"/>
      <c r="G33" s="8"/>
      <c r="H33" s="12"/>
      <c r="I33" s="30"/>
    </row>
    <row r="34" spans="1:9" x14ac:dyDescent="0.15">
      <c r="A34" s="29" t="s">
        <v>58</v>
      </c>
      <c r="B34" s="45">
        <v>2</v>
      </c>
      <c r="C34" s="12" t="s">
        <v>22</v>
      </c>
      <c r="D34" s="12"/>
      <c r="E34" s="8"/>
      <c r="F34" s="98"/>
      <c r="G34" s="8"/>
      <c r="H34" s="12"/>
      <c r="I34" s="30"/>
    </row>
    <row r="35" spans="1:9" x14ac:dyDescent="0.15">
      <c r="A35" s="29"/>
      <c r="B35" s="12"/>
      <c r="C35" s="12"/>
      <c r="D35" s="12"/>
      <c r="E35" s="12"/>
      <c r="F35" s="12"/>
      <c r="G35" s="12"/>
      <c r="H35" s="12"/>
      <c r="I35" s="30"/>
    </row>
    <row r="36" spans="1:9" x14ac:dyDescent="0.15">
      <c r="A36" s="31"/>
      <c r="B36" s="32"/>
      <c r="C36" s="32"/>
      <c r="D36" s="32"/>
      <c r="E36" s="32"/>
      <c r="F36" s="32"/>
      <c r="G36" s="32"/>
      <c r="H36" s="32"/>
      <c r="I36" s="33"/>
    </row>
  </sheetData>
  <sheetProtection algorithmName="SHA-512" hashValue="uTzuRRo0UwH2Tj6xI/pGZZgGDnFYV97JcxzlFbWsE0+PQNstVVCYKjYLqFsgCjhTP8DNrY1GP5MQRNk0EgZaBA==" saltValue="awn8CBUxHFPkOi4uXUd28g==" spinCount="100000" sheet="1" objects="1" scenarios="1"/>
  <mergeCells count="8">
    <mergeCell ref="A1:J1"/>
    <mergeCell ref="A2:E2"/>
    <mergeCell ref="D14:I14"/>
    <mergeCell ref="A16:F16"/>
    <mergeCell ref="A30:E30"/>
    <mergeCell ref="A11:I11"/>
    <mergeCell ref="A17:E17"/>
    <mergeCell ref="A23:E23"/>
  </mergeCells>
  <pageMargins left="0.78740157480314965" right="0.78740157480314965" top="1.0236220472440944" bottom="1.0236220472440944" header="0.78740157480314965" footer="0.78740157480314965"/>
  <pageSetup paperSize="9" scale="90" orientation="landscape" useFirstPageNumber="1" horizontalDpi="300" verticalDpi="300"/>
  <headerFooter alignWithMargins="0">
    <oddHeader>&amp;C&amp;A</oddHeader>
    <oddFooter>&amp;CPagina &amp;P</oddFooter>
  </headerFooter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"/>
  <sheetViews>
    <sheetView zoomScale="139" workbookViewId="0">
      <selection activeCell="D13" sqref="D13"/>
    </sheetView>
  </sheetViews>
  <sheetFormatPr baseColWidth="10" defaultColWidth="11.5" defaultRowHeight="13" x14ac:dyDescent="0.15"/>
  <cols>
    <col min="2" max="2" width="11.6640625" bestFit="1" customWidth="1"/>
    <col min="7" max="7" width="12.33203125" bestFit="1" customWidth="1"/>
    <col min="8" max="8" width="11.6640625" bestFit="1" customWidth="1"/>
    <col min="10" max="10" width="12.33203125" bestFit="1" customWidth="1"/>
  </cols>
  <sheetData>
    <row r="1" spans="1:11" ht="38" customHeight="1" x14ac:dyDescent="0.35">
      <c r="A1" s="49" t="s">
        <v>76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x14ac:dyDescent="0.15">
      <c r="A2" s="64" t="s">
        <v>64</v>
      </c>
      <c r="B2" s="65"/>
      <c r="C2" s="65"/>
      <c r="D2" s="67"/>
      <c r="E2" s="28"/>
      <c r="G2" s="59" t="s">
        <v>67</v>
      </c>
      <c r="H2" s="60"/>
      <c r="I2" s="61"/>
    </row>
    <row r="3" spans="1:11" x14ac:dyDescent="0.15">
      <c r="A3" s="29" t="s">
        <v>32</v>
      </c>
      <c r="B3" s="45">
        <v>20</v>
      </c>
      <c r="C3" s="12" t="s">
        <v>33</v>
      </c>
      <c r="D3" s="12"/>
      <c r="E3" s="30"/>
      <c r="G3" s="14" t="s">
        <v>53</v>
      </c>
      <c r="H3" s="45">
        <v>373</v>
      </c>
      <c r="I3" s="15" t="s">
        <v>45</v>
      </c>
    </row>
    <row r="4" spans="1:11" x14ac:dyDescent="0.15">
      <c r="A4" s="29" t="s">
        <v>29</v>
      </c>
      <c r="B4" s="45">
        <v>0.30000000000000004</v>
      </c>
      <c r="C4" s="12" t="s">
        <v>33</v>
      </c>
      <c r="D4" s="12"/>
      <c r="E4" s="30"/>
      <c r="G4" s="14" t="s">
        <v>38</v>
      </c>
      <c r="H4" s="45">
        <v>90</v>
      </c>
      <c r="I4" s="15" t="s">
        <v>35</v>
      </c>
    </row>
    <row r="5" spans="1:11" x14ac:dyDescent="0.15">
      <c r="A5" s="66" t="s">
        <v>63</v>
      </c>
      <c r="B5" s="27">
        <f>2*ATAN( B4/B3/2)</f>
        <v>1.4999718759491808E-2</v>
      </c>
      <c r="C5" s="8" t="s">
        <v>39</v>
      </c>
      <c r="D5" s="12"/>
      <c r="E5" s="30"/>
      <c r="G5" s="14" t="s">
        <v>32</v>
      </c>
      <c r="H5" s="45">
        <v>0.30000000000000004</v>
      </c>
      <c r="I5" s="15" t="s">
        <v>22</v>
      </c>
    </row>
    <row r="6" spans="1:11" x14ac:dyDescent="0.15">
      <c r="A6" s="66"/>
      <c r="B6" s="13">
        <f>2*ATAN( B4/B3/2)*180/3.1415927</f>
        <v>0.85942056610601547</v>
      </c>
      <c r="C6" s="8" t="s">
        <v>35</v>
      </c>
      <c r="D6" s="12"/>
      <c r="E6" s="30"/>
      <c r="G6" s="16" t="s">
        <v>40</v>
      </c>
      <c r="H6" s="11">
        <f>2*3.14159*(1-COS(H4*3.1415927/180/2))</f>
        <v>1.8403008661330438</v>
      </c>
      <c r="I6" s="17" t="s">
        <v>37</v>
      </c>
    </row>
    <row r="7" spans="1:11" x14ac:dyDescent="0.15">
      <c r="A7" s="16" t="s">
        <v>40</v>
      </c>
      <c r="B7" s="27">
        <f>2*3.14159*(1-COS(B5/2))</f>
        <v>1.7670698270945314E-4</v>
      </c>
      <c r="C7" s="8" t="s">
        <v>37</v>
      </c>
      <c r="D7" s="12"/>
      <c r="E7" s="30"/>
      <c r="G7" s="16" t="s">
        <v>30</v>
      </c>
      <c r="H7" s="11">
        <f>H6*H5^2</f>
        <v>0.16562707795197398</v>
      </c>
      <c r="I7" s="17" t="s">
        <v>31</v>
      </c>
    </row>
    <row r="8" spans="1:11" x14ac:dyDescent="0.15">
      <c r="A8" s="29"/>
      <c r="B8" s="27">
        <f>2*3.1415927*(1-2*B3/SQRT(B4^2+4*B3^2))</f>
        <v>1.7670713457734866E-4</v>
      </c>
      <c r="C8" s="8" t="s">
        <v>37</v>
      </c>
      <c r="D8" s="12"/>
      <c r="E8" s="30"/>
      <c r="G8" s="18" t="s">
        <v>42</v>
      </c>
      <c r="H8" s="21">
        <f>H3/H7</f>
        <v>2252.0472172319364</v>
      </c>
      <c r="I8" s="22" t="s">
        <v>43</v>
      </c>
    </row>
    <row r="9" spans="1:11" x14ac:dyDescent="0.15">
      <c r="A9" s="29"/>
      <c r="B9" s="12"/>
      <c r="C9" s="12"/>
      <c r="D9" s="12"/>
      <c r="E9" s="30"/>
    </row>
    <row r="10" spans="1:11" x14ac:dyDescent="0.15">
      <c r="A10" s="31"/>
      <c r="B10" s="32"/>
      <c r="C10" s="32"/>
      <c r="D10" s="32"/>
      <c r="E10" s="33"/>
    </row>
    <row r="11" spans="1:11" x14ac:dyDescent="0.15">
      <c r="G11" s="53" t="s">
        <v>41</v>
      </c>
      <c r="H11" s="54"/>
      <c r="I11" s="54"/>
      <c r="J11" s="55"/>
    </row>
    <row r="12" spans="1:11" x14ac:dyDescent="0.15">
      <c r="G12" s="36" t="s">
        <v>44</v>
      </c>
      <c r="H12" s="34"/>
      <c r="I12" s="45">
        <v>810</v>
      </c>
      <c r="J12" s="15" t="s">
        <v>45</v>
      </c>
    </row>
    <row r="13" spans="1:11" x14ac:dyDescent="0.15">
      <c r="A13" s="56" t="s">
        <v>66</v>
      </c>
      <c r="B13" s="57"/>
      <c r="C13" s="58"/>
      <c r="G13" s="36" t="s">
        <v>47</v>
      </c>
      <c r="H13" s="34"/>
      <c r="I13" s="45">
        <v>3400</v>
      </c>
      <c r="J13" s="15" t="s">
        <v>48</v>
      </c>
    </row>
    <row r="14" spans="1:11" x14ac:dyDescent="0.15">
      <c r="A14" s="14" t="s">
        <v>42</v>
      </c>
      <c r="B14" s="45">
        <v>4000</v>
      </c>
      <c r="C14" s="15" t="s">
        <v>43</v>
      </c>
      <c r="G14" s="37" t="s">
        <v>49</v>
      </c>
      <c r="H14" s="35"/>
      <c r="I14" s="23">
        <f>I12/I13</f>
        <v>0.23823529411764705</v>
      </c>
      <c r="J14" s="17" t="s">
        <v>37</v>
      </c>
    </row>
    <row r="15" spans="1:11" x14ac:dyDescent="0.15">
      <c r="A15" s="14" t="s">
        <v>46</v>
      </c>
      <c r="B15" s="45">
        <v>1000</v>
      </c>
      <c r="C15" s="15" t="s">
        <v>45</v>
      </c>
      <c r="G15" s="62" t="s">
        <v>50</v>
      </c>
      <c r="H15" s="63"/>
      <c r="I15" s="24">
        <f>ACOS(1-I14/6.28318)*2*180/3.1415927</f>
        <v>31.65649281140989</v>
      </c>
      <c r="J15" s="22" t="s">
        <v>35</v>
      </c>
    </row>
    <row r="16" spans="1:11" x14ac:dyDescent="0.15">
      <c r="A16" s="14" t="s">
        <v>32</v>
      </c>
      <c r="B16" s="45">
        <v>0.2</v>
      </c>
      <c r="C16" s="15" t="s">
        <v>22</v>
      </c>
    </row>
    <row r="17" spans="1:10" x14ac:dyDescent="0.15">
      <c r="A17" s="16" t="s">
        <v>40</v>
      </c>
      <c r="B17" s="11">
        <f>B15/B14/B16^2</f>
        <v>6.2499999999999991</v>
      </c>
      <c r="C17" s="17" t="s">
        <v>37</v>
      </c>
      <c r="G17" s="53" t="s">
        <v>51</v>
      </c>
      <c r="H17" s="54"/>
      <c r="I17" s="54"/>
      <c r="J17" s="55"/>
    </row>
    <row r="18" spans="1:10" x14ac:dyDescent="0.15">
      <c r="A18" s="25" t="s">
        <v>63</v>
      </c>
      <c r="B18" s="11">
        <f>2*ACOS(1-B17/2/3.1415927 )</f>
        <v>3.1310293637370905</v>
      </c>
      <c r="C18" s="17" t="s">
        <v>39</v>
      </c>
      <c r="G18" s="36" t="s">
        <v>47</v>
      </c>
      <c r="H18" s="34"/>
      <c r="I18" s="46">
        <v>700</v>
      </c>
      <c r="J18" s="15" t="s">
        <v>52</v>
      </c>
    </row>
    <row r="19" spans="1:10" x14ac:dyDescent="0.15">
      <c r="A19" s="26"/>
      <c r="B19" s="21">
        <f>B18*180/3.1415927</f>
        <v>179.39476542349882</v>
      </c>
      <c r="C19" s="22" t="s">
        <v>35</v>
      </c>
      <c r="G19" s="36" t="s">
        <v>50</v>
      </c>
      <c r="H19" s="34"/>
      <c r="I19" s="46">
        <v>24</v>
      </c>
      <c r="J19" s="15" t="s">
        <v>35</v>
      </c>
    </row>
    <row r="20" spans="1:10" x14ac:dyDescent="0.15">
      <c r="G20" s="37" t="s">
        <v>49</v>
      </c>
      <c r="H20" s="35"/>
      <c r="I20" s="10">
        <f>2*3.14159*(1-COS(I19*3.1415927/180/2))</f>
        <v>0.13730256206322117</v>
      </c>
      <c r="J20" s="15" t="s">
        <v>37</v>
      </c>
    </row>
    <row r="21" spans="1:10" x14ac:dyDescent="0.15">
      <c r="G21" s="38" t="s">
        <v>44</v>
      </c>
      <c r="H21" s="39"/>
      <c r="I21" s="40">
        <f>I18*I20</f>
        <v>96.111793444254815</v>
      </c>
      <c r="J21" s="22" t="s">
        <v>45</v>
      </c>
    </row>
    <row r="23" spans="1:10" x14ac:dyDescent="0.15">
      <c r="A23" s="53" t="s">
        <v>65</v>
      </c>
      <c r="B23" s="54"/>
      <c r="C23" s="54"/>
      <c r="D23" s="54"/>
      <c r="E23" s="54"/>
      <c r="F23" s="55"/>
    </row>
    <row r="24" spans="1:10" x14ac:dyDescent="0.15">
      <c r="A24" s="14" t="s">
        <v>34</v>
      </c>
      <c r="B24" s="45">
        <v>0.1</v>
      </c>
      <c r="C24" s="12" t="s">
        <v>35</v>
      </c>
      <c r="D24" s="12" t="s">
        <v>34</v>
      </c>
      <c r="E24" s="45">
        <v>1.0999999999999999E-2</v>
      </c>
      <c r="F24" s="15" t="s">
        <v>24</v>
      </c>
    </row>
    <row r="25" spans="1:10" x14ac:dyDescent="0.15">
      <c r="A25" s="16" t="s">
        <v>36</v>
      </c>
      <c r="B25" s="8">
        <f>2*3.14159*(1-COS(B24*3.1415927/180/2))</f>
        <v>2.3924575182288321E-6</v>
      </c>
      <c r="C25" s="8" t="s">
        <v>37</v>
      </c>
      <c r="D25" s="8" t="s">
        <v>36</v>
      </c>
      <c r="E25" s="8">
        <f>2*3.14159*(1-COS(E24/2))</f>
        <v>9.503285793737935E-5</v>
      </c>
      <c r="F25" s="17" t="s">
        <v>37</v>
      </c>
      <c r="H25" s="51" t="s">
        <v>68</v>
      </c>
      <c r="I25" s="52"/>
    </row>
    <row r="26" spans="1:10" x14ac:dyDescent="0.15">
      <c r="A26" s="14"/>
      <c r="B26" s="12"/>
      <c r="C26" s="12"/>
      <c r="D26" s="12"/>
      <c r="E26" s="12"/>
      <c r="F26" s="15"/>
      <c r="H26" s="41" t="s">
        <v>54</v>
      </c>
      <c r="I26" s="47">
        <v>35</v>
      </c>
    </row>
    <row r="27" spans="1:10" x14ac:dyDescent="0.15">
      <c r="A27" s="14"/>
      <c r="B27" s="9" t="s">
        <v>36</v>
      </c>
      <c r="C27" s="46">
        <v>7.8500000000000011E-3</v>
      </c>
      <c r="D27" s="12" t="s">
        <v>37</v>
      </c>
      <c r="E27" s="12"/>
      <c r="F27" s="15"/>
      <c r="H27" s="14" t="s">
        <v>55</v>
      </c>
      <c r="I27" s="48">
        <v>20</v>
      </c>
    </row>
    <row r="28" spans="1:10" x14ac:dyDescent="0.15">
      <c r="A28" s="18" t="s">
        <v>34</v>
      </c>
      <c r="B28" s="19">
        <f>ACOS(1-C27/6.28318)*2*180/3.1415927</f>
        <v>5.728724321522102</v>
      </c>
      <c r="C28" s="20" t="s">
        <v>35</v>
      </c>
      <c r="D28" s="20" t="s">
        <v>34</v>
      </c>
      <c r="E28" s="21">
        <f>ACOS(1-C27/6.28318)*2</f>
        <v>9.9985102826701588E-2</v>
      </c>
      <c r="F28" s="22" t="s">
        <v>24</v>
      </c>
      <c r="H28" s="42" t="s">
        <v>56</v>
      </c>
      <c r="I28" s="43">
        <f>2*SQRT(I26*I27/3.14159)</f>
        <v>29.854119215559759</v>
      </c>
    </row>
  </sheetData>
  <sheetProtection algorithmName="SHA-512" hashValue="28uyWAbCv+P+Vfur2DZOCDDpWhoEqGpkREmODLmhb2atJ5l8+A1JpSdhFcUh8ABVtX0r2tH8PmDoYOL/bXEQxg==" saltValue="gMOouIWVDqneKRolpKQFMw==" spinCount="100000" sheet="1" scenarios="1"/>
  <mergeCells count="10">
    <mergeCell ref="H25:I25"/>
    <mergeCell ref="A23:F23"/>
    <mergeCell ref="G17:J17"/>
    <mergeCell ref="A13:C13"/>
    <mergeCell ref="A1:K1"/>
    <mergeCell ref="G2:I2"/>
    <mergeCell ref="G11:J11"/>
    <mergeCell ref="G15:H15"/>
    <mergeCell ref="A2:C2"/>
    <mergeCell ref="A5:A6"/>
  </mergeCells>
  <pageMargins left="0.78740157480314965" right="0.78740157480314965" top="1.0236220472440944" bottom="1.0236220472440944" header="0.78740157480314965" footer="0.78740157480314965"/>
  <pageSetup paperSize="9" scale="90" orientation="landscape" horizontalDpi="300" verticalDpi="300"/>
  <headerFooter alignWithMargins="0">
    <oddHeader>&amp;C&amp;A</oddHeader>
    <oddFooter>&amp;CPagina 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Radiometria</vt:lpstr>
      <vt:lpstr>fotometria</vt:lpstr>
      <vt:lpstr>fotometria!Area_stampa</vt:lpstr>
      <vt:lpstr>Radiometria!Area_stampa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</dc:creator>
  <cp:lastModifiedBy>Andrea</cp:lastModifiedBy>
  <cp:lastPrinted>2022-02-24T16:28:02Z</cp:lastPrinted>
  <dcterms:created xsi:type="dcterms:W3CDTF">2022-02-24T16:24:02Z</dcterms:created>
  <dcterms:modified xsi:type="dcterms:W3CDTF">2022-02-24T16:35:52Z</dcterms:modified>
</cp:coreProperties>
</file>